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0730" windowHeight="11760" tabRatio="903" activeTab="1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<sst xmlns="http://schemas.openxmlformats.org/spreadsheetml/2006/main" count="179" uniqueCount="73">
  <si>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</si>
  <si>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</si>
  <si>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</si>
  <si>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</si>
  <si>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</si>
  <si>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</si>
  <si>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</si>
  <si>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</si>
  <si>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</si>
  <si>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</si>
  <si>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</si>
  <si>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</si>
  <si>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</si>
  <si>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</si>
  <si>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</si>
  <si>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</si>
  <si>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</si>
  <si>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</si>
  <si>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</si>
  <si>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</si>
  <si>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</si>
  <si>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</si>
  <si>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</si>
  <si>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</si>
  <si>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</si>
  <si>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</si>
  <si>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</si>
  <si>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</si>
  <si>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</si>
  <si>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</si>
  <si>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</si>
  <si>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</si>
  <si>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</si>
  <si>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</si>
  <si>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</si>
  <si>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</si>
  <si>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</si>
  <si>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</si>
  <si>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</si>
  <si>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</si>
  <si>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</si>
  <si>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</si>
  <si>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</si>
  <si>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</si>
  <si>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</si>
  <si>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</si>
  <si>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</si>
  <si>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</si>
  <si>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</si>
  <si>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</si>
  <si>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</si>
  <si>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</si>
  <si>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</si>
  <si>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</si>
  <si>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</si>
  <si>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</si>
  <si>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</si>
  <si>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</si>
  <si>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</si>
  <si>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</si>
  <si>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</si>
  <si>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</si>
  <si>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</si>
  <si>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</si>
  <si>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</si>
  <si>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15-16</t>
  </si>
  <si>
    <t>LA MIOTTE</t>
  </si>
  <si>
    <t>FRANCHE COMTE</t>
  </si>
  <si>
    <t>FONTAINE Marc-Olivier</t>
  </si>
  <si>
    <t>marc-olivier.fontaine@oange.fr</t>
  </si>
  <si>
    <t>FONTAINE Zacharie</t>
  </si>
  <si>
    <t>ERBS Mélanie</t>
  </si>
  <si>
    <t>CONOGLIO Alexis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</si>
</sst>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4"/>
      <name val="Arial Narrow"/>
      <family val="2"/>
    </font>
    <font>
      <b/>
      <sz val="28"/>
      <name val="Arial Narrow"/>
      <family val="2"/>
    </font>
    <font>
      <b/>
      <sz val="30"/>
      <name val="Arial Narrow"/>
      <family val="2"/>
    </font>
    <font>
      <sz val="30"/>
      <name val="Arial Narrow"/>
      <family val="2"/>
    </font>
    <font>
      <b/>
      <sz val="32"/>
      <name val="Arial Narrow"/>
      <family val="2"/>
    </font>
    <font>
      <sz val="25"/>
      <name val="Arial Black"/>
      <family val="2"/>
    </font>
    <font>
      <sz val="14"/>
      <name val="Arial Narrow"/>
      <family val="2"/>
    </font>
    <font>
      <b/>
      <sz val="4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5"/>
      <name val="Arial Narrow"/>
      <family val="2"/>
    </font>
    <font>
      <sz val="25"/>
      <color indexed="18"/>
      <name val="Arial Black"/>
      <family val="2"/>
    </font>
    <font>
      <b/>
      <sz val="14"/>
      <color indexed="18"/>
      <name val="Arial Narrow"/>
      <family val="2"/>
    </font>
    <font>
      <b/>
      <sz val="5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50"/>
      <color indexed="9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0"/>
      <color indexed="55"/>
      <name val="Arial Narrow"/>
      <family val="2"/>
    </font>
    <font>
      <sz val="50"/>
      <name val="Arial"/>
      <family val="2"/>
    </font>
    <font>
      <b/>
      <sz val="15"/>
      <color indexed="9"/>
      <name val="Arial"/>
      <family val="2"/>
    </font>
    <font>
      <b/>
      <sz val="15"/>
      <color indexed="23"/>
      <name val="Arial"/>
      <family val="2"/>
    </font>
    <font>
      <sz val="50"/>
      <color indexed="18"/>
      <name val="Arial Black"/>
      <family val="2"/>
    </font>
    <font>
      <b/>
      <sz val="18"/>
      <color indexed="23"/>
      <name val="Arial Narrow"/>
      <family val="2"/>
    </font>
    <font>
      <sz val="14"/>
      <color indexed="23"/>
      <name val="Arial Narrow"/>
      <family val="2"/>
    </font>
    <font>
      <b/>
      <sz val="40"/>
      <name val="Arial"/>
      <family val="2"/>
    </font>
    <font>
      <sz val="50"/>
      <color indexed="55"/>
      <name val="Arial Black"/>
      <family val="2"/>
    </font>
    <font>
      <b/>
      <sz val="15"/>
      <color indexed="23"/>
      <name val="Arial Narrow"/>
      <family val="2"/>
    </font>
    <font>
      <sz val="18"/>
      <color indexed="22"/>
      <name val="Arial Narrow"/>
      <family val="2"/>
    </font>
    <font>
      <sz val="20"/>
      <name val="Arial Black"/>
      <family val="2"/>
    </font>
    <font>
      <sz val="15"/>
      <color indexed="55"/>
      <name val="Arial Narrow"/>
      <family val="2"/>
    </font>
    <font>
      <sz val="18"/>
      <color theme="0" tint="-0.249977111117893"/>
      <name val="Arial Narrow"/>
      <family val="2"/>
    </font>
    <font>
      <b/>
      <sz val="28"/>
      <color theme="0" tint="-0.34998626667073579"/>
      <name val="Arial Narrow"/>
      <family val="2"/>
    </font>
    <font>
      <sz val="16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color theme="0"/>
      <name val="Arial Narrow"/>
      <family val="2"/>
    </font>
    <font>
      <b/>
      <sz val="32"/>
      <color theme="0"/>
      <name val="Arial Narrow"/>
      <family val="2"/>
    </font>
    <font>
      <sz val="30"/>
      <color theme="0"/>
      <name val="Arial Narrow"/>
      <family val="2"/>
    </font>
    <font>
      <b/>
      <sz val="50"/>
      <name val="Arial Narrow"/>
      <family val="2"/>
    </font>
    <font>
      <b/>
      <sz val="28"/>
      <color theme="0"/>
      <name val="Arial Narrow"/>
      <family val="2"/>
    </font>
    <font>
      <b/>
      <sz val="16"/>
      <name val="Arial Narrow"/>
      <family val="2"/>
    </font>
    <font>
      <b/>
      <sz val="15"/>
      <name val="Arial Narrow"/>
      <family val="2"/>
    </font>
    <font>
      <b/>
      <sz val="15"/>
      <color theme="0"/>
      <name val="Arial"/>
      <family val="2"/>
    </font>
    <font>
      <u/>
      <sz val="10"/>
      <color theme="11"/>
      <name val="Verdana"/>
      <family val="2"/>
    </font>
    <font>
      <b/>
      <sz val="34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673100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675566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10" zoomScaleSheetLayoutView="100" workbookViewId="0">
      <selection activeCell="B4" sqref="B4"/>
    </sheetView>
  </sheetViews>
  <sheetFormatPr baseColWidth="10" defaultColWidth="10.75" defaultRowHeight="12.75" x14ac:dyDescent="0.2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 x14ac:dyDescent="0.2">
      <c r="A1" s="184" t="s">
        <v>3</v>
      </c>
      <c r="B1" s="185"/>
      <c r="C1" s="185"/>
    </row>
    <row r="2" spans="1:3" ht="24.95" customHeight="1" x14ac:dyDescent="0.2">
      <c r="A2" s="186" t="s">
        <v>18</v>
      </c>
      <c r="B2" s="186"/>
      <c r="C2" s="186"/>
    </row>
    <row r="3" spans="1:3" ht="24.95" customHeight="1" x14ac:dyDescent="0.2">
      <c r="A3" s="189" t="s">
        <v>29</v>
      </c>
      <c r="B3" s="189"/>
      <c r="C3" s="189"/>
    </row>
    <row r="4" spans="1:3" ht="24.95" customHeight="1" x14ac:dyDescent="0.2">
      <c r="A4" s="110" t="s">
        <v>5</v>
      </c>
      <c r="B4" s="61">
        <v>40931</v>
      </c>
      <c r="C4" s="111"/>
    </row>
    <row r="5" spans="1:3" ht="24.95" customHeight="1" x14ac:dyDescent="0.2">
      <c r="A5" s="110" t="s">
        <v>46</v>
      </c>
      <c r="B5" s="10" t="s">
        <v>66</v>
      </c>
      <c r="C5" s="111"/>
    </row>
    <row r="6" spans="1:3" ht="24.95" customHeight="1" x14ac:dyDescent="0.2">
      <c r="A6" s="110" t="s">
        <v>49</v>
      </c>
      <c r="B6" s="52" t="s">
        <v>65</v>
      </c>
      <c r="C6" s="111"/>
    </row>
    <row r="7" spans="1:3" ht="24.95" customHeight="1" x14ac:dyDescent="0.2">
      <c r="A7" s="110" t="s">
        <v>0</v>
      </c>
      <c r="B7" s="10" t="s">
        <v>64</v>
      </c>
      <c r="C7" s="111" t="s">
        <v>4</v>
      </c>
    </row>
    <row r="8" spans="1:3" ht="24.95" customHeight="1" x14ac:dyDescent="0.2">
      <c r="A8" s="110" t="s">
        <v>47</v>
      </c>
      <c r="B8" s="15">
        <v>2</v>
      </c>
      <c r="C8" s="111"/>
    </row>
    <row r="9" spans="1:3" ht="24.95" customHeight="1" x14ac:dyDescent="0.2">
      <c r="A9" s="9" t="s">
        <v>31</v>
      </c>
      <c r="B9" s="51" t="s">
        <v>67</v>
      </c>
      <c r="C9" s="111" t="s">
        <v>50</v>
      </c>
    </row>
    <row r="10" spans="1:3" ht="24.95" customHeight="1" x14ac:dyDescent="0.2">
      <c r="A10" s="112"/>
      <c r="B10" s="112"/>
      <c r="C10" s="113"/>
    </row>
    <row r="11" spans="1:3" ht="24.9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68</v>
      </c>
      <c r="C12" s="114"/>
    </row>
    <row r="13" spans="1:3" ht="30" customHeight="1" x14ac:dyDescent="0.2">
      <c r="A13" s="9" t="s">
        <v>26</v>
      </c>
      <c r="B13" s="13">
        <v>661564393</v>
      </c>
      <c r="C13" s="111"/>
    </row>
    <row r="14" spans="1:3" ht="30" customHeight="1" x14ac:dyDescent="0.2">
      <c r="A14" s="9" t="s">
        <v>27</v>
      </c>
      <c r="B14" s="16" t="s">
        <v>69</v>
      </c>
      <c r="C14" s="115"/>
    </row>
    <row r="16" spans="1:3" ht="92.1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tabSelected="1" zoomScale="50" zoomScaleNormal="50" zoomScaleSheetLayoutView="40" zoomScalePageLayoutView="50" workbookViewId="0">
      <pane xSplit="4" ySplit="4" topLeftCell="G5" activePane="bottomRight" state="frozenSplit"/>
      <selection pane="topRight" activeCell="E1" sqref="E1"/>
      <selection pane="bottomLeft" activeCell="A3" sqref="A3"/>
      <selection pane="bottomRight" activeCell="P6" sqref="P6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20.62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4.62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 x14ac:dyDescent="0.2">
      <c r="A1" s="192" t="str">
        <f>CONCATENATE(INFO!B7," - ",INFO!B9)</f>
        <v>CARABINE - FRANCHE COMTE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 x14ac:dyDescent="0.2">
      <c r="A5" s="117">
        <v>1</v>
      </c>
      <c r="B5" s="179">
        <f>RANK(W5,W$5:W$44,0)</f>
        <v>1</v>
      </c>
      <c r="C5" s="71" t="s">
        <v>66</v>
      </c>
      <c r="D5" s="72">
        <v>2390171</v>
      </c>
      <c r="E5" s="73" t="s">
        <v>72</v>
      </c>
      <c r="F5" s="140">
        <v>66.599999999999994</v>
      </c>
      <c r="G5" s="140">
        <v>76.099999999999994</v>
      </c>
      <c r="H5" s="141">
        <f t="shared" ref="H5:H44" si="0">SUM(F5:G5)</f>
        <v>142.69999999999999</v>
      </c>
      <c r="I5" s="74"/>
      <c r="J5" s="73" t="s">
        <v>70</v>
      </c>
      <c r="K5" s="140">
        <v>73.900000000000006</v>
      </c>
      <c r="L5" s="140">
        <v>68</v>
      </c>
      <c r="M5" s="141">
        <f t="shared" ref="M5:M44" si="1">SUM(K5:L5)</f>
        <v>141.9</v>
      </c>
      <c r="N5" s="74"/>
      <c r="O5" s="73" t="s">
        <v>71</v>
      </c>
      <c r="P5" s="140">
        <v>55.7</v>
      </c>
      <c r="Q5" s="140">
        <v>60.7</v>
      </c>
      <c r="R5" s="141">
        <f t="shared" ref="R5:R44" si="2">SUM(P5:Q5)</f>
        <v>116.4</v>
      </c>
      <c r="S5" s="74"/>
      <c r="T5" s="146">
        <f t="shared" ref="T5:T44" si="3">SUM(H5+M5+R5)</f>
        <v>401</v>
      </c>
      <c r="U5" s="120">
        <f>I5+N5+S5</f>
        <v>0</v>
      </c>
      <c r="W5" s="172">
        <f>H5+M5+R5+(0.000001*(I5+N5+S5))+(0.000000001*(G5+L5+Q5))</f>
        <v>401.00000020480002</v>
      </c>
    </row>
    <row r="6" spans="1:27" s="4" customFormat="1" ht="47.1" customHeight="1" x14ac:dyDescent="0.2">
      <c r="A6" s="118">
        <v>2</v>
      </c>
      <c r="B6" s="180">
        <f t="shared" ref="B6:B44" si="4">RANK(W6,W$5:W$44,0)</f>
        <v>2</v>
      </c>
      <c r="C6" s="62"/>
      <c r="D6" s="64"/>
      <c r="E6" s="67"/>
      <c r="F6" s="142"/>
      <c r="G6" s="142"/>
      <c r="H6" s="143">
        <f t="shared" si="0"/>
        <v>0</v>
      </c>
      <c r="I6" s="68"/>
      <c r="J6" s="67"/>
      <c r="K6" s="142"/>
      <c r="L6" s="142"/>
      <c r="M6" s="143">
        <f t="shared" si="1"/>
        <v>0</v>
      </c>
      <c r="N6" s="68"/>
      <c r="O6" s="67"/>
      <c r="P6" s="142"/>
      <c r="Q6" s="142"/>
      <c r="R6" s="143">
        <f t="shared" si="2"/>
        <v>0</v>
      </c>
      <c r="S6" s="68"/>
      <c r="T6" s="147">
        <f t="shared" si="3"/>
        <v>0</v>
      </c>
      <c r="U6" s="121">
        <f t="shared" ref="U6:U44" si="5">I6+N6+S6</f>
        <v>0</v>
      </c>
      <c r="W6" s="172">
        <f t="shared" ref="W6:W44" si="6">H6+M6+R6+(0.000001*(I6+N6+S6))+(0.000000001*(G6+L6+Q6))</f>
        <v>0</v>
      </c>
    </row>
    <row r="7" spans="1:27" s="4" customFormat="1" ht="47.1" customHeight="1" x14ac:dyDescent="0.2">
      <c r="A7" s="118">
        <v>3</v>
      </c>
      <c r="B7" s="180">
        <f t="shared" si="4"/>
        <v>2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 x14ac:dyDescent="0.2">
      <c r="A8" s="118">
        <v>4</v>
      </c>
      <c r="B8" s="180">
        <f t="shared" si="4"/>
        <v>2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 x14ac:dyDescent="0.2">
      <c r="A9" s="118">
        <v>5</v>
      </c>
      <c r="B9" s="180">
        <f t="shared" si="4"/>
        <v>2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 x14ac:dyDescent="0.2">
      <c r="A10" s="118">
        <v>6</v>
      </c>
      <c r="B10" s="180">
        <f t="shared" si="4"/>
        <v>2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 x14ac:dyDescent="0.2">
      <c r="A11" s="118">
        <v>7</v>
      </c>
      <c r="B11" s="180">
        <f t="shared" si="4"/>
        <v>2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 x14ac:dyDescent="0.2">
      <c r="A12" s="118">
        <v>8</v>
      </c>
      <c r="B12" s="180">
        <f t="shared" si="4"/>
        <v>2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 x14ac:dyDescent="0.2">
      <c r="A13" s="118">
        <v>9</v>
      </c>
      <c r="B13" s="180">
        <f t="shared" si="4"/>
        <v>2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 x14ac:dyDescent="0.2">
      <c r="A14" s="118">
        <v>10</v>
      </c>
      <c r="B14" s="180">
        <f t="shared" si="4"/>
        <v>2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 x14ac:dyDescent="0.2">
      <c r="A15" s="118">
        <v>11</v>
      </c>
      <c r="B15" s="180">
        <f t="shared" si="4"/>
        <v>2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 x14ac:dyDescent="0.2">
      <c r="A16" s="118">
        <v>12</v>
      </c>
      <c r="B16" s="180">
        <f t="shared" si="4"/>
        <v>2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 x14ac:dyDescent="0.2">
      <c r="A17" s="118">
        <v>13</v>
      </c>
      <c r="B17" s="180">
        <f t="shared" si="4"/>
        <v>2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 x14ac:dyDescent="0.2">
      <c r="A18" s="118">
        <v>14</v>
      </c>
      <c r="B18" s="180">
        <f t="shared" si="4"/>
        <v>2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 x14ac:dyDescent="0.2">
      <c r="A19" s="118">
        <v>15</v>
      </c>
      <c r="B19" s="180">
        <f t="shared" si="4"/>
        <v>2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 x14ac:dyDescent="0.2">
      <c r="A20" s="118">
        <v>16</v>
      </c>
      <c r="B20" s="180">
        <f t="shared" si="4"/>
        <v>2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 x14ac:dyDescent="0.2">
      <c r="A21" s="118">
        <v>17</v>
      </c>
      <c r="B21" s="180">
        <f t="shared" si="4"/>
        <v>2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 x14ac:dyDescent="0.2">
      <c r="A22" s="118">
        <v>18</v>
      </c>
      <c r="B22" s="180">
        <f t="shared" si="4"/>
        <v>2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 x14ac:dyDescent="0.2">
      <c r="A23" s="118">
        <v>19</v>
      </c>
      <c r="B23" s="180">
        <f t="shared" si="4"/>
        <v>2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 x14ac:dyDescent="0.2">
      <c r="A24" s="118">
        <v>20</v>
      </c>
      <c r="B24" s="180">
        <f t="shared" si="4"/>
        <v>2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 x14ac:dyDescent="0.2">
      <c r="A25" s="118">
        <v>21</v>
      </c>
      <c r="B25" s="180">
        <f t="shared" si="4"/>
        <v>2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 x14ac:dyDescent="0.2">
      <c r="A26" s="118">
        <v>22</v>
      </c>
      <c r="B26" s="180">
        <f t="shared" si="4"/>
        <v>2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 x14ac:dyDescent="0.2">
      <c r="A27" s="118">
        <v>23</v>
      </c>
      <c r="B27" s="180">
        <f t="shared" si="4"/>
        <v>2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 x14ac:dyDescent="0.2">
      <c r="A28" s="118">
        <v>24</v>
      </c>
      <c r="B28" s="180">
        <f t="shared" si="4"/>
        <v>2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 x14ac:dyDescent="0.2">
      <c r="A29" s="118">
        <v>25</v>
      </c>
      <c r="B29" s="180">
        <f t="shared" si="4"/>
        <v>2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 x14ac:dyDescent="0.2">
      <c r="A30" s="118">
        <v>26</v>
      </c>
      <c r="B30" s="180">
        <f t="shared" si="4"/>
        <v>2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 x14ac:dyDescent="0.2">
      <c r="A31" s="118">
        <v>27</v>
      </c>
      <c r="B31" s="180">
        <f t="shared" si="4"/>
        <v>2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 x14ac:dyDescent="0.2">
      <c r="A32" s="118">
        <v>28</v>
      </c>
      <c r="B32" s="180">
        <f t="shared" si="4"/>
        <v>2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 x14ac:dyDescent="0.2">
      <c r="A33" s="118">
        <v>29</v>
      </c>
      <c r="B33" s="180">
        <f t="shared" si="4"/>
        <v>2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 x14ac:dyDescent="0.2">
      <c r="A34" s="118">
        <v>30</v>
      </c>
      <c r="B34" s="180">
        <f t="shared" si="4"/>
        <v>2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 x14ac:dyDescent="0.2">
      <c r="A35" s="118">
        <v>31</v>
      </c>
      <c r="B35" s="180">
        <f t="shared" si="4"/>
        <v>2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 x14ac:dyDescent="0.2">
      <c r="A36" s="118">
        <v>32</v>
      </c>
      <c r="B36" s="180">
        <f t="shared" si="4"/>
        <v>2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 x14ac:dyDescent="0.2">
      <c r="A37" s="118">
        <v>33</v>
      </c>
      <c r="B37" s="180">
        <f t="shared" si="4"/>
        <v>2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 x14ac:dyDescent="0.2">
      <c r="A38" s="118">
        <v>34</v>
      </c>
      <c r="B38" s="180">
        <f t="shared" si="4"/>
        <v>2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 x14ac:dyDescent="0.2">
      <c r="A39" s="118">
        <v>35</v>
      </c>
      <c r="B39" s="180">
        <f t="shared" si="4"/>
        <v>2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 x14ac:dyDescent="0.2">
      <c r="A40" s="118">
        <v>36</v>
      </c>
      <c r="B40" s="180">
        <f t="shared" si="4"/>
        <v>2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 x14ac:dyDescent="0.2">
      <c r="A41" s="118">
        <v>37</v>
      </c>
      <c r="B41" s="180">
        <f t="shared" si="4"/>
        <v>2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 x14ac:dyDescent="0.2">
      <c r="A42" s="118">
        <v>38</v>
      </c>
      <c r="B42" s="180">
        <f t="shared" si="4"/>
        <v>2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 x14ac:dyDescent="0.2">
      <c r="A43" s="118">
        <v>39</v>
      </c>
      <c r="B43" s="180">
        <f t="shared" si="4"/>
        <v>2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 x14ac:dyDescent="0.25">
      <c r="A44" s="119">
        <v>40</v>
      </c>
      <c r="B44" s="181">
        <f t="shared" si="4"/>
        <v>2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 x14ac:dyDescent="0.2">
      <c r="A2" s="210" t="str">
        <f>CONCATENATE("MATCH DE QUALIFICATION"," - ",INFO!B7," - ",INFO!B9)</f>
        <v>MATCH DE QUALIFICATION - CARABINE - FRANCHE COMTE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 x14ac:dyDescent="0.2">
      <c r="A5" s="85">
        <v>1</v>
      </c>
      <c r="B5" s="139" t="str">
        <f>VLOOKUP(A5,saisie!B$5:W$44,2,0)</f>
        <v>LA MIOTTE</v>
      </c>
      <c r="C5" s="86">
        <f>VLOOKUP(A5,saisie!B$5:W$44,3,0)</f>
        <v>2390171</v>
      </c>
      <c r="D5" s="83" t="str">
        <f>VLOOKUP(A5,saisie!B$5:W$44,4,0)</f>
        <v>CONOGLIO Alexis</v>
      </c>
      <c r="E5" s="149">
        <f>VLOOKUP(A5,saisie!B$5:W$44,5,0)</f>
        <v>66.599999999999994</v>
      </c>
      <c r="F5" s="149">
        <f>VLOOKUP(A5,saisie!B$5:W$44,6,0)</f>
        <v>76.099999999999994</v>
      </c>
      <c r="G5" s="150">
        <f t="shared" ref="G5:G44" si="0">SUM(E5:F5)</f>
        <v>142.69999999999999</v>
      </c>
      <c r="H5" s="87">
        <f>VLOOKUP(A5,saisie!B$5:W$44,8,0)</f>
        <v>0</v>
      </c>
      <c r="I5" s="83" t="str">
        <f>VLOOKUP(A5,saisie!B$5:W$44,9,0)</f>
        <v>FONTAINE Zacharie</v>
      </c>
      <c r="J5" s="149">
        <f>VLOOKUP(A5,saisie!B$5:W$44,10,0)</f>
        <v>73.900000000000006</v>
      </c>
      <c r="K5" s="149">
        <f>VLOOKUP(A5,saisie!B$5:W$44,11,0)</f>
        <v>68</v>
      </c>
      <c r="L5" s="150">
        <f t="shared" ref="L5:L44" si="1">SUM(J5:K5)</f>
        <v>141.9</v>
      </c>
      <c r="M5" s="87">
        <f>VLOOKUP(A5,saisie!B$5:W$44,13,0)</f>
        <v>0</v>
      </c>
      <c r="N5" s="83" t="str">
        <f>VLOOKUP(A5,saisie!B$5:W$44,14,0)</f>
        <v>ERBS Mélanie</v>
      </c>
      <c r="O5" s="149">
        <f>VLOOKUP(A5,saisie!B$5:W$44,15,0)</f>
        <v>55.7</v>
      </c>
      <c r="P5" s="149">
        <f>VLOOKUP(A5,saisie!B$5:W$44,16,0)</f>
        <v>60.7</v>
      </c>
      <c r="Q5" s="150">
        <f t="shared" ref="Q5:Q44" si="2">SUM(O5:P5)</f>
        <v>116.4</v>
      </c>
      <c r="R5" s="87">
        <f>VLOOKUP(A5,saisie!B$5:W$44,18,0)</f>
        <v>0</v>
      </c>
      <c r="S5" s="151">
        <f t="shared" ref="S5:S44" si="3">SUM(G5+L5+Q5)</f>
        <v>401</v>
      </c>
      <c r="T5" s="88">
        <f>VLOOKUP(A5,saisie!B$5:W$44,20,0)</f>
        <v>0</v>
      </c>
    </row>
    <row r="6" spans="1:26" s="89" customFormat="1" ht="47.1" customHeight="1" x14ac:dyDescent="0.2">
      <c r="A6" s="85">
        <f>IF(INFO!B8&gt;1,2,"")</f>
        <v>2</v>
      </c>
      <c r="B6" s="139">
        <f>VLOOKUP(A6,saisie!B$5:W$44,2,0)</f>
        <v>0</v>
      </c>
      <c r="C6" s="86">
        <f>VLOOKUP(A6,saisie!B$5:W$44,3,0)</f>
        <v>0</v>
      </c>
      <c r="D6" s="83">
        <f>VLOOKUP(A6,saisie!B$5:W$44,4,0)</f>
        <v>0</v>
      </c>
      <c r="E6" s="149">
        <f>VLOOKUP(A6,saisie!B$5:W$44,5,0)</f>
        <v>0</v>
      </c>
      <c r="F6" s="149">
        <f>VLOOKUP(A6,saisie!B$5:W$44,6,0)</f>
        <v>0</v>
      </c>
      <c r="G6" s="150">
        <f t="shared" si="0"/>
        <v>0</v>
      </c>
      <c r="H6" s="87">
        <f>VLOOKUP(A6,saisie!B$5:W$44,8,0)</f>
        <v>0</v>
      </c>
      <c r="I6" s="83">
        <f>VLOOKUP(A6,saisie!B$5:W$44,9,0)</f>
        <v>0</v>
      </c>
      <c r="J6" s="149">
        <f>VLOOKUP(A6,saisie!B$5:W$44,10,0)</f>
        <v>0</v>
      </c>
      <c r="K6" s="149">
        <f>VLOOKUP(A6,saisie!B$5:W$44,11,0)</f>
        <v>0</v>
      </c>
      <c r="L6" s="150">
        <f t="shared" si="1"/>
        <v>0</v>
      </c>
      <c r="M6" s="87">
        <f>VLOOKUP(A6,saisie!B$5:W$44,13,0)</f>
        <v>0</v>
      </c>
      <c r="N6" s="83">
        <f>VLOOKUP(A6,saisie!B$5:W$44,14,0)</f>
        <v>0</v>
      </c>
      <c r="O6" s="149">
        <f>VLOOKUP(A6,saisie!B$5:W$44,15,0)</f>
        <v>0</v>
      </c>
      <c r="P6" s="149">
        <f>VLOOKUP(A6,saisie!B$5:W$44,16,0)</f>
        <v>0</v>
      </c>
      <c r="Q6" s="150">
        <f t="shared" si="2"/>
        <v>0</v>
      </c>
      <c r="R6" s="87">
        <f>VLOOKUP(A6,saisie!B$5:W$44,18,0)</f>
        <v>0</v>
      </c>
      <c r="S6" s="151">
        <f t="shared" si="3"/>
        <v>0</v>
      </c>
      <c r="T6" s="88">
        <f>VLOOKUP(A6,saisie!B$5:W$44,20,0)</f>
        <v>0</v>
      </c>
    </row>
    <row r="7" spans="1:26" s="89" customFormat="1" ht="47.1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 x14ac:dyDescent="0.2">
      <c r="A1" s="17"/>
      <c r="B1" s="220" t="str">
        <f>CONCATENATE(INFO!B7,"    ",INFO!B9)</f>
        <v>CARABINE    FRANCHE COMTE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5.0999999999999996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 x14ac:dyDescent="0.25">
      <c r="A4" s="32"/>
      <c r="B4" s="152" t="s">
        <v>1</v>
      </c>
      <c r="C4" s="218" t="str">
        <f>'M Q'!B5</f>
        <v>LA MIOTTE</v>
      </c>
      <c r="D4" s="219"/>
      <c r="E4" s="153">
        <f>'M Q'!S5</f>
        <v>401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4.9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 x14ac:dyDescent="0.2">
      <c r="A6" s="31"/>
      <c r="B6" s="159" t="str">
        <f>'M Q'!D5</f>
        <v>CONOGLIO Alexis</v>
      </c>
      <c r="C6" s="160">
        <f>'M Q'!E5</f>
        <v>66.599999999999994</v>
      </c>
      <c r="D6" s="161">
        <f>'M Q'!F5</f>
        <v>76.099999999999994</v>
      </c>
      <c r="E6" s="159">
        <f>SUM(C6:D6)</f>
        <v>142.69999999999999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 x14ac:dyDescent="0.2">
      <c r="A7" s="31"/>
      <c r="B7" s="162" t="str">
        <f>'M Q'!I5</f>
        <v>FONTAINE Zacharie</v>
      </c>
      <c r="C7" s="163">
        <f>'M Q'!J5</f>
        <v>73.900000000000006</v>
      </c>
      <c r="D7" s="164">
        <f>'M Q'!K5</f>
        <v>68</v>
      </c>
      <c r="E7" s="162">
        <f>SUM(C7:D7)</f>
        <v>141.9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 x14ac:dyDescent="0.25">
      <c r="A8" s="31"/>
      <c r="B8" s="165" t="str">
        <f>'M Q'!N5</f>
        <v>ERBS Mélanie</v>
      </c>
      <c r="C8" s="166">
        <f>'M Q'!O5</f>
        <v>55.7</v>
      </c>
      <c r="D8" s="167">
        <f>'M Q'!P5</f>
        <v>60.7</v>
      </c>
      <c r="E8" s="165">
        <f>SUM(C8:D8)</f>
        <v>116.4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 x14ac:dyDescent="0.25">
      <c r="A10" s="34"/>
      <c r="B10" s="152" t="s">
        <v>2</v>
      </c>
      <c r="C10" s="218">
        <f>'M Q'!B6</f>
        <v>0</v>
      </c>
      <c r="D10" s="219"/>
      <c r="E10" s="153">
        <f>'M Q'!S6</f>
        <v>0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4.9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 x14ac:dyDescent="0.2">
      <c r="A12" s="31"/>
      <c r="B12" s="159">
        <f>'M Q'!D6</f>
        <v>0</v>
      </c>
      <c r="C12" s="160">
        <f>'M Q'!E6</f>
        <v>0</v>
      </c>
      <c r="D12" s="161">
        <f>'M Q'!F6</f>
        <v>0</v>
      </c>
      <c r="E12" s="159">
        <f>SUM(C12:D12)</f>
        <v>0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 x14ac:dyDescent="0.2">
      <c r="A13" s="31"/>
      <c r="B13" s="162">
        <f>'M Q'!I6</f>
        <v>0</v>
      </c>
      <c r="C13" s="163">
        <f>'M Q'!J6</f>
        <v>0</v>
      </c>
      <c r="D13" s="164">
        <f>'M Q'!K6</f>
        <v>0</v>
      </c>
      <c r="E13" s="162">
        <f>SUM(C13:D13)</f>
        <v>0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 x14ac:dyDescent="0.25">
      <c r="A14" s="31"/>
      <c r="B14" s="165">
        <f>'M Q'!N6</f>
        <v>0</v>
      </c>
      <c r="C14" s="166">
        <f>'M Q'!O6</f>
        <v>0</v>
      </c>
      <c r="D14" s="167">
        <f>'M Q'!P6</f>
        <v>0</v>
      </c>
      <c r="E14" s="165">
        <f>SUM(C14:D14)</f>
        <v>0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4.9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4.9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 x14ac:dyDescent="0.2"/>
  </sheetData>
  <sheetProtection password="CF6D" sheet="1" objects="1" scenarios="1" formatColumns="0" selectLockedCells="1"/>
  <mergeCells count="18">
    <mergeCell ref="H22:I22"/>
    <mergeCell ref="R22:S22"/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zoomScale="95" zoomScaleNormal="95" zoomScaleSheetLayoutView="75" zoomScalePageLayoutView="95" workbookViewId="0">
      <pane ySplit="2" topLeftCell="A3" activePane="bottomLeft" state="frozenSplit"/>
      <selection sqref="A1:C1"/>
      <selection pane="bottomLeft" activeCell="G11" sqref="G11"/>
    </sheetView>
  </sheetViews>
  <sheetFormatPr baseColWidth="10" defaultColWidth="8.125" defaultRowHeight="27.9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 x14ac:dyDescent="0.2">
      <c r="A1" s="257" t="str">
        <f>INFO!B7</f>
        <v>CARABINE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7.95" customHeight="1" outlineLevel="1" thickBot="1" x14ac:dyDescent="0.25">
      <c r="B4" s="263" t="str">
        <f>'Clb Q'!C4</f>
        <v>LA MIOTTE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1.95" customHeight="1" outlineLevel="2" x14ac:dyDescent="0.2">
      <c r="B5" s="250" t="str">
        <f>'Clb Q'!B6</f>
        <v>CONOGLIO Alexis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1.95" customHeight="1" outlineLevel="2" x14ac:dyDescent="0.2">
      <c r="B6" s="250" t="str">
        <f>'Clb Q'!B7</f>
        <v>FONTAINE Zacharie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1.95" customHeight="1" outlineLevel="2" thickBot="1" x14ac:dyDescent="0.25">
      <c r="B7" s="250" t="str">
        <f>'Clb Q'!B8</f>
        <v>ERBS Mélanie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1.9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1.9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1.9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1.9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1.9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5.95" customHeight="1" outlineLevel="1" thickBot="1" x14ac:dyDescent="0.25">
      <c r="J13" s="28"/>
      <c r="K13" s="28"/>
      <c r="U13" s="30"/>
    </row>
    <row r="14" spans="1:22" s="38" customFormat="1" ht="27.9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1.9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1.9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1.9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1.9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1.9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1.9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1.9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1.9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7.95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1.95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1.95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1.95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1.9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1.9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1.9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1.9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1.9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7.9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>
        <f>'Clb Q'!C10</f>
        <v>0</v>
      </c>
      <c r="R36" s="264"/>
      <c r="S36" s="265"/>
      <c r="U36" s="42"/>
    </row>
    <row r="37" spans="1:21" s="36" customFormat="1" ht="21.9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>
        <f>'Clb Q'!B12</f>
        <v>0</v>
      </c>
      <c r="R37" s="251"/>
      <c r="S37" s="252"/>
      <c r="U37" s="43"/>
    </row>
    <row r="38" spans="1:21" s="36" customFormat="1" ht="21.9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>
        <f>'Clb Q'!B13</f>
        <v>0</v>
      </c>
      <c r="R38" s="251"/>
      <c r="S38" s="252"/>
      <c r="U38" s="43"/>
    </row>
    <row r="39" spans="1:21" s="36" customFormat="1" ht="21.9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>
        <f>'Clb Q'!B14</f>
        <v>0</v>
      </c>
      <c r="R39" s="251"/>
      <c r="S39" s="252"/>
      <c r="U39" s="43"/>
    </row>
    <row r="40" spans="1:21" ht="21.9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1.9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1.9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1.9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1.9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7.95" customHeight="1" thickBot="1" x14ac:dyDescent="0.25">
      <c r="B46" s="244" t="str">
        <f>IF(G4="",B4,IF(B8="","",IF(B8&gt;2,B4,IF(H8&gt;2,G4,""))))</f>
        <v>LA MIOTTE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1.95" customHeight="1" outlineLevel="1" x14ac:dyDescent="0.2">
      <c r="B47" s="247" t="str">
        <f>IF(G4="",B5,IF(B8="","",IF(B8&gt;2,B5,IF(H8&gt;2,G5,""))))</f>
        <v>CONOGLIO Alexis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1.95" customHeight="1" outlineLevel="1" x14ac:dyDescent="0.2">
      <c r="B48" s="247" t="str">
        <f>IF(G4="",B6,IF(B8="","",IF(B8&gt;2,B6,IF(H8&gt;2,G6,""))))</f>
        <v>FONTAINE Zacharie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1.95" customHeight="1" outlineLevel="1" thickBot="1" x14ac:dyDescent="0.25">
      <c r="B49" s="247" t="str">
        <f>IF(G4="",B7,IF(B8="","",IF(B8&gt;2,B7,IF(H8&gt;2,G7,""))))</f>
        <v>ERBS Mélanie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1.9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1.9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1.9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1.9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1.9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7.9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>
        <f>IF(L36="",Q36,IF(L40="","",IF(L40&gt;2,L36,IF(R40&gt;2,Q36,""))))</f>
        <v>0</v>
      </c>
      <c r="R56" s="245"/>
      <c r="S56" s="246"/>
      <c r="U56" s="42"/>
    </row>
    <row r="57" spans="1:21" s="36" customFormat="1" ht="21.9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>
        <f>IF(L36="",Q37,IF(L40="","",IF(L40&gt;2,L37,IF(R40&gt;2,Q37,""))))</f>
        <v>0</v>
      </c>
      <c r="R57" s="248"/>
      <c r="S57" s="249"/>
      <c r="U57" s="43"/>
    </row>
    <row r="58" spans="1:21" s="36" customFormat="1" ht="21.9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>
        <f>IF(L36="",Q38,IF(L40="","",IF(L40&gt;2,L38,IF(R40&gt;2,Q38,""))))</f>
        <v>0</v>
      </c>
      <c r="R58" s="248"/>
      <c r="S58" s="249"/>
      <c r="U58" s="43"/>
    </row>
    <row r="59" spans="1:21" s="36" customFormat="1" ht="21.9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>
        <f>IF(L36="",Q39,IF(L40="","",IF(L40&gt;2,L39,IF(R40&gt;2,Q39,""))))</f>
        <v>0</v>
      </c>
      <c r="R59" s="248"/>
      <c r="S59" s="249"/>
      <c r="U59" s="43"/>
    </row>
    <row r="60" spans="1:21" ht="21.9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1.9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1.9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1.9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1.9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49.9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7.95" customHeight="1" thickBot="1" x14ac:dyDescent="0.25">
      <c r="B67" s="241" t="str">
        <f>IF(G46="",B46,IF(B50="","",IF(H50="","",IF(B50&gt;2,B46,IF(H50&gt;2,G46,"")))))</f>
        <v>LA MIOTTE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>
        <f>IF(L56="",Q56,IF(L60="","",IF(R60="","",IF(L60&gt;2,L56,IF(R60&gt;2,Q56,"")))))</f>
        <v>0</v>
      </c>
      <c r="R67" s="242"/>
      <c r="S67" s="243"/>
    </row>
    <row r="68" spans="1:21" s="36" customFormat="1" ht="21.95" customHeight="1" outlineLevel="1" x14ac:dyDescent="0.2">
      <c r="B68" s="275" t="str">
        <f>IF(G46="",B47,IF(B50="","",IF(H50="","",IF(B50&gt;2,B47,IF(H50&gt;2,G47,"")))))</f>
        <v>CONOGLIO Alexis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13</v>
      </c>
      <c r="P68" s="133">
        <v>14</v>
      </c>
      <c r="Q68" s="275">
        <f>IF(L56="",Q57,IF(L60="","",IF(R60="","",IF(L60&gt;2,L57,IF(R60&gt;2,Q57,"")))))</f>
        <v>0</v>
      </c>
      <c r="R68" s="276"/>
      <c r="S68" s="277"/>
    </row>
    <row r="69" spans="1:21" s="36" customFormat="1" ht="21.95" customHeight="1" outlineLevel="1" x14ac:dyDescent="0.2">
      <c r="B69" s="275" t="str">
        <f>IF(G46="",B48,IF(B50="","",IF(H50="","",IF(B50&gt;2,B48,IF(H50&gt;2,G48,"")))))</f>
        <v>FONTAINE Zacharie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15</v>
      </c>
      <c r="P69" s="133">
        <v>16</v>
      </c>
      <c r="Q69" s="275">
        <f>IF(L56="",Q58,IF(L60="","",IF(R60="","",IF(L60&gt;2,L58,IF(R60&gt;2,Q58,"")))))</f>
        <v>0</v>
      </c>
      <c r="R69" s="276"/>
      <c r="S69" s="277"/>
    </row>
    <row r="70" spans="1:21" s="36" customFormat="1" ht="21.95" customHeight="1" outlineLevel="1" thickBot="1" x14ac:dyDescent="0.25">
      <c r="B70" s="275" t="str">
        <f>IF(G46="",B49,IF(B50="","",IF(H50="","",IF(B50&gt;2,B49,IF(H50&gt;2,G49,"")))))</f>
        <v>ERBS Mélanie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17</v>
      </c>
      <c r="P70" s="133">
        <v>18</v>
      </c>
      <c r="Q70" s="275">
        <f>IF(L56="",Q59,IF(L60="","",IF(R60="","",IF(L60&gt;2,L59,IF(R60&gt;2,Q59,"")))))</f>
        <v>0</v>
      </c>
      <c r="R70" s="276"/>
      <c r="S70" s="277"/>
    </row>
    <row r="71" spans="1:21" ht="21.9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1.9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1.9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1.9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1.9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1.9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1.9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7.9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1.9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1.9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1.9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1.9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1.9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1.9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1.9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7.9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 x14ac:dyDescent="0.25">
      <c r="F94" s="39"/>
      <c r="G94" s="238" t="str">
        <f>IF(G67="",B67,IF(B71="","",IF(H71="","",IF(B71&gt;3,B67,IF(H71&gt;3,G67,"")))))</f>
        <v>LA MIOTTE</v>
      </c>
      <c r="H94" s="239"/>
      <c r="I94" s="240"/>
      <c r="J94" s="224" t="s">
        <v>11</v>
      </c>
      <c r="K94" s="225"/>
      <c r="L94" s="238">
        <f>IF(L67="",Q67,IF(L71="","",IF(R71="","",IF(L71&gt;3,L67,IF(R71&gt;3,Q67,"")))))</f>
        <v>0</v>
      </c>
      <c r="M94" s="239"/>
      <c r="N94" s="240"/>
      <c r="O94" s="38"/>
    </row>
    <row r="95" spans="6:21" ht="20.100000000000001" customHeight="1" outlineLevel="1" x14ac:dyDescent="0.2">
      <c r="F95" s="35"/>
      <c r="G95" s="235" t="str">
        <f>IF(G67="",B68,IF(B71="","",IF(H71="","",IF(B71&gt;3,B68,IF(H71&gt;3,G68,"")))))</f>
        <v>CONOGLIO Alexis</v>
      </c>
      <c r="H95" s="236"/>
      <c r="I95" s="237"/>
      <c r="J95" s="136">
        <v>3</v>
      </c>
      <c r="K95" s="137">
        <v>4</v>
      </c>
      <c r="L95" s="235">
        <f>IF(L67="",Q68,IF(L71="","",IF(R71="","",IF(L71&gt;3,L68,IF(R71&gt;3,Q68,"")))))</f>
        <v>0</v>
      </c>
      <c r="M95" s="236"/>
      <c r="N95" s="237"/>
      <c r="O95" s="36"/>
    </row>
    <row r="96" spans="6:21" ht="20.100000000000001" customHeight="1" outlineLevel="1" x14ac:dyDescent="0.2">
      <c r="F96" s="35"/>
      <c r="G96" s="235" t="str">
        <f>IF(G67="",B69,IF(B71="","",IF(H71="","",IF(B71&gt;3,B69,IF(H71&gt;3,G69,"")))))</f>
        <v>FONTAINE Zacharie</v>
      </c>
      <c r="H96" s="236"/>
      <c r="I96" s="237"/>
      <c r="J96" s="136">
        <v>5</v>
      </c>
      <c r="K96" s="137">
        <v>6</v>
      </c>
      <c r="L96" s="235">
        <f>IF(L67="",Q69,IF(L71="","",IF(R71="","",IF(L71&gt;3,L69,IF(R71&gt;3,Q69,"")))))</f>
        <v>0</v>
      </c>
      <c r="M96" s="236"/>
      <c r="N96" s="237"/>
      <c r="O96" s="36"/>
    </row>
    <row r="97" spans="5:15" ht="20.100000000000001" customHeight="1" outlineLevel="1" thickBot="1" x14ac:dyDescent="0.25">
      <c r="F97" s="35"/>
      <c r="G97" s="235" t="str">
        <f>IF(G67="",B70,IF(B71="","",IF(H71="","",IF(B71&gt;3,B70,IF(H71&gt;3,G70,"")))))</f>
        <v>ERBS Mélanie</v>
      </c>
      <c r="H97" s="236"/>
      <c r="I97" s="237"/>
      <c r="J97" s="136">
        <v>7</v>
      </c>
      <c r="K97" s="137">
        <v>8</v>
      </c>
      <c r="L97" s="235">
        <f>IF(L67="",Q70,IF(L71="","",IF(R71="","",IF(L71&gt;3,L70,IF(R71&gt;3,Q70,"")))))</f>
        <v>0</v>
      </c>
      <c r="M97" s="236"/>
      <c r="N97" s="237"/>
      <c r="O97" s="36"/>
    </row>
    <row r="98" spans="5:15" ht="21.95" customHeight="1" x14ac:dyDescent="0.2">
      <c r="E98" s="30"/>
      <c r="F98" s="44" t="str">
        <f>IF(I98="","",IF(I98&gt;1,1,0))</f>
        <v/>
      </c>
      <c r="G98" s="254" t="str">
        <f>IF(I98="","",SUM(F98:F104))</f>
        <v/>
      </c>
      <c r="H98" s="266"/>
      <c r="I98" s="78"/>
      <c r="J98" s="226"/>
      <c r="K98" s="227"/>
      <c r="L98" s="78"/>
      <c r="M98" s="253" t="str">
        <f>IF(L98="","",SUM(O98:O104))</f>
        <v/>
      </c>
      <c r="N98" s="254"/>
      <c r="O98" s="41" t="str">
        <f>IF(L98="","",IF(L98&gt;1,1,0))</f>
        <v/>
      </c>
    </row>
    <row r="99" spans="5:15" ht="21.95" customHeight="1" x14ac:dyDescent="0.2">
      <c r="E99" s="30"/>
      <c r="F99" s="44" t="str">
        <f t="shared" ref="F99:F104" si="6">IF(I99="","",IF(I99&gt;1,1,0))</f>
        <v/>
      </c>
      <c r="G99" s="256"/>
      <c r="H99" s="267"/>
      <c r="I99" s="79"/>
      <c r="J99" s="222"/>
      <c r="K99" s="223"/>
      <c r="L99" s="79"/>
      <c r="M99" s="255"/>
      <c r="N99" s="256"/>
      <c r="O99" s="41" t="str">
        <f t="shared" ref="O99:O104" si="7">IF(L99="","",IF(L99&gt;1,1,0))</f>
        <v/>
      </c>
    </row>
    <row r="100" spans="5:15" ht="21.95" customHeight="1" x14ac:dyDescent="0.2">
      <c r="E100" s="30"/>
      <c r="F100" s="44" t="str">
        <f t="shared" si="6"/>
        <v/>
      </c>
      <c r="G100" s="256"/>
      <c r="H100" s="267"/>
      <c r="I100" s="79"/>
      <c r="J100" s="222"/>
      <c r="K100" s="223"/>
      <c r="L100" s="79"/>
      <c r="M100" s="255"/>
      <c r="N100" s="256"/>
      <c r="O100" s="41" t="str">
        <f t="shared" si="7"/>
        <v/>
      </c>
    </row>
    <row r="101" spans="5:15" ht="21.95" customHeight="1" x14ac:dyDescent="0.2">
      <c r="E101" s="30"/>
      <c r="F101" s="44" t="str">
        <f t="shared" si="6"/>
        <v/>
      </c>
      <c r="G101" s="256"/>
      <c r="H101" s="267"/>
      <c r="I101" s="79"/>
      <c r="J101" s="222"/>
      <c r="K101" s="223"/>
      <c r="L101" s="79"/>
      <c r="M101" s="255"/>
      <c r="N101" s="256"/>
      <c r="O101" s="41" t="str">
        <f t="shared" si="7"/>
        <v/>
      </c>
    </row>
    <row r="102" spans="5:15" ht="21.95" customHeight="1" x14ac:dyDescent="0.2">
      <c r="E102" s="30"/>
      <c r="F102" s="44" t="str">
        <f t="shared" si="6"/>
        <v/>
      </c>
      <c r="G102" s="256"/>
      <c r="H102" s="267"/>
      <c r="I102" s="79"/>
      <c r="J102" s="222"/>
      <c r="K102" s="223"/>
      <c r="L102" s="79"/>
      <c r="M102" s="255"/>
      <c r="N102" s="256"/>
      <c r="O102" s="41" t="str">
        <f t="shared" si="7"/>
        <v/>
      </c>
    </row>
    <row r="103" spans="5:15" ht="21.95" customHeight="1" x14ac:dyDescent="0.2">
      <c r="E103" s="30"/>
      <c r="F103" s="44" t="str">
        <f t="shared" si="6"/>
        <v/>
      </c>
      <c r="G103" s="256"/>
      <c r="H103" s="267"/>
      <c r="I103" s="79"/>
      <c r="J103" s="222"/>
      <c r="K103" s="223"/>
      <c r="L103" s="79"/>
      <c r="M103" s="255"/>
      <c r="N103" s="256"/>
      <c r="O103" s="41" t="str">
        <f t="shared" si="7"/>
        <v/>
      </c>
    </row>
    <row r="104" spans="5:15" ht="21.95" customHeight="1" thickBot="1" x14ac:dyDescent="0.25">
      <c r="E104" s="30"/>
      <c r="F104" s="44" t="str">
        <f t="shared" si="6"/>
        <v/>
      </c>
      <c r="G104" s="256"/>
      <c r="H104" s="267"/>
      <c r="I104" s="80"/>
      <c r="J104" s="222"/>
      <c r="K104" s="223"/>
      <c r="L104" s="80"/>
      <c r="M104" s="255"/>
      <c r="N104" s="256"/>
      <c r="O104" s="41" t="str">
        <f t="shared" si="7"/>
        <v/>
      </c>
    </row>
    <row r="105" spans="5:15" ht="27.95" customHeight="1" x14ac:dyDescent="0.2">
      <c r="E105" s="30"/>
    </row>
    <row r="106" spans="5:15" ht="27.95" customHeight="1" x14ac:dyDescent="0.2">
      <c r="E106" s="30"/>
    </row>
    <row r="107" spans="5:15" ht="27.95" customHeight="1" x14ac:dyDescent="0.2">
      <c r="E107" s="30"/>
    </row>
    <row r="108" spans="5:15" ht="27.95" customHeight="1" x14ac:dyDescent="0.2">
      <c r="E108" s="30"/>
    </row>
    <row r="109" spans="5:15" ht="27.9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CARABINE - FRANCHE COMTE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 x14ac:dyDescent="0.2">
      <c r="A7" s="54">
        <v>1</v>
      </c>
      <c r="B7" s="55" t="str">
        <f>IF(A7="","",IF(P.F.!G98&gt;3,P.F.!G94,IF(P.F.!M98&gt;3,P.F.!L94,"")))</f>
        <v>LA MIOTTE</v>
      </c>
      <c r="C7" s="55"/>
      <c r="D7" s="57">
        <f>IF(A7="","",VLOOKUP(B7,'M Q'!B$5:T$20,2,0))</f>
        <v>2390171</v>
      </c>
      <c r="E7" s="182">
        <f>IF(A7="","",VLOOKUP(B7,'M Q'!B$5:T$20,18,0))</f>
        <v>401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 x14ac:dyDescent="0.2">
      <c r="A8" s="54">
        <f>IF(INFO!B8&gt;1,2,"")</f>
        <v>2</v>
      </c>
      <c r="B8" s="55">
        <f>IF(A8="","",IF(P.F.!G98&gt;3,P.F.!L94,IF(P.F.!M98&gt;3,P.F.!G94,"")))</f>
        <v>0</v>
      </c>
      <c r="C8" s="55"/>
      <c r="D8" s="57">
        <f>IF(A8="","",VLOOKUP(B8,'M Q'!B$5:T$20,2,0))</f>
        <v>0</v>
      </c>
      <c r="E8" s="182">
        <f>IF(A8="","",VLOOKUP(B8,'M Q'!B$5:T$20,18,0))</f>
        <v>0</v>
      </c>
      <c r="F8" s="75">
        <f>IF(A8="","",VLOOKUP(B8,'M Q'!B$5:T$20,19,0))</f>
        <v>0</v>
      </c>
      <c r="G8" s="283"/>
      <c r="H8" s="19"/>
    </row>
    <row r="9" spans="1:18" s="100" customFormat="1" ht="26.1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MARC-OLIVIER FONTAINE - A205810</cp:lastModifiedBy>
  <cp:lastPrinted>2014-10-14T08:39:11Z</cp:lastPrinted>
  <dcterms:created xsi:type="dcterms:W3CDTF">2004-11-19T11:01:00Z</dcterms:created>
  <dcterms:modified xsi:type="dcterms:W3CDTF">2016-01-24T11:33:57Z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